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 Storage\Word\Astronomy\Handbook\Supplements\"/>
    </mc:Choice>
  </mc:AlternateContent>
  <bookViews>
    <workbookView xWindow="0" yWindow="0" windowWidth="28800" windowHeight="12630"/>
  </bookViews>
  <sheets>
    <sheet name="Calculator" sheetId="1" r:id="rId1"/>
  </sheets>
  <calcPr calcId="152511"/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N32" i="1"/>
  <c r="N31" i="1"/>
  <c r="M10" i="1" s="1"/>
  <c r="C37" i="1" s="1"/>
  <c r="D37" i="1" s="1"/>
  <c r="E37" i="1" s="1"/>
  <c r="N34" i="1"/>
  <c r="M16" i="1"/>
  <c r="M17" i="1"/>
  <c r="M18" i="1" s="1"/>
  <c r="M12" i="1" s="1"/>
  <c r="C38" i="1" s="1"/>
  <c r="N33" i="1" l="1"/>
  <c r="M9" i="1" s="1"/>
  <c r="M11" i="1" s="1"/>
  <c r="C54" i="1" s="1"/>
  <c r="E38" i="1"/>
  <c r="M13" i="1" s="1"/>
  <c r="D38" i="1"/>
  <c r="C53" i="1" l="1"/>
  <c r="M4" i="1" s="1"/>
</calcChain>
</file>

<file path=xl/sharedStrings.xml><?xml version="1.0" encoding="utf-8"?>
<sst xmlns="http://schemas.openxmlformats.org/spreadsheetml/2006/main" count="84" uniqueCount="67">
  <si>
    <t xml:space="preserve">Diameter </t>
  </si>
  <si>
    <t>mm</t>
  </si>
  <si>
    <t>Object Parameters</t>
  </si>
  <si>
    <t>Major Axis</t>
  </si>
  <si>
    <t>Minor Axis</t>
  </si>
  <si>
    <t>Surface Brightness</t>
  </si>
  <si>
    <t>min</t>
  </si>
  <si>
    <r>
      <t>mag/sec</t>
    </r>
    <r>
      <rPr>
        <vertAlign val="superscript"/>
        <sz val="11"/>
        <color indexed="8"/>
        <rFont val="Calibri"/>
        <family val="2"/>
      </rPr>
      <t>2</t>
    </r>
  </si>
  <si>
    <t>Name</t>
  </si>
  <si>
    <t>INPUTS</t>
  </si>
  <si>
    <t>OUTPUTS</t>
  </si>
  <si>
    <t>Magnification</t>
  </si>
  <si>
    <t>Exit Pupil</t>
  </si>
  <si>
    <t>Sky Parameters</t>
  </si>
  <si>
    <t>Telescpe</t>
  </si>
  <si>
    <t>mag</t>
  </si>
  <si>
    <t>Compare to Table 3</t>
  </si>
  <si>
    <t>Obj diameter</t>
  </si>
  <si>
    <t>Obj SB</t>
  </si>
  <si>
    <t>OIII</t>
  </si>
  <si>
    <t>Dim(mag)</t>
  </si>
  <si>
    <t>UHC</t>
  </si>
  <si>
    <t>Table 3 expanded</t>
  </si>
  <si>
    <t>Sky+mag+filter SB</t>
  </si>
  <si>
    <t>Filter Type</t>
  </si>
  <si>
    <t>Dimming due to magnification</t>
  </si>
  <si>
    <t>Size(')</t>
  </si>
  <si>
    <r>
      <t>Sky+Mag+Filter SB mag/arcsec</t>
    </r>
    <r>
      <rPr>
        <vertAlign val="superscript"/>
        <sz val="11"/>
        <color indexed="8"/>
        <rFont val="Calibri"/>
        <family val="2"/>
      </rPr>
      <t>2</t>
    </r>
  </si>
  <si>
    <t>Obj+mag SB</t>
  </si>
  <si>
    <t>with mag+filter</t>
  </si>
  <si>
    <t>Yellow cells are computed results</t>
  </si>
  <si>
    <t>Eyepiece f.l.</t>
  </si>
  <si>
    <t>Filter</t>
  </si>
  <si>
    <t>Circular equivalent</t>
  </si>
  <si>
    <t>Is Object Visible ?</t>
  </si>
  <si>
    <t>Log2.512(Size)</t>
  </si>
  <si>
    <t>Vmag</t>
  </si>
  <si>
    <t>f_ratio</t>
  </si>
  <si>
    <t>mag wrt eye pupil</t>
  </si>
  <si>
    <t>in</t>
  </si>
  <si>
    <t>sec</t>
  </si>
  <si>
    <t>Telescope Parameters</t>
  </si>
  <si>
    <t>SB</t>
  </si>
  <si>
    <t>Type or select:  min or sec</t>
  </si>
  <si>
    <t>Type or select:  Vmag or SB</t>
  </si>
  <si>
    <t>Type or select: in or mm</t>
  </si>
  <si>
    <r>
      <t>Vis_mag or SB(mag/arcsec</t>
    </r>
    <r>
      <rPr>
        <sz val="11"/>
        <color theme="1"/>
        <rFont val="Calibri"/>
        <family val="2"/>
        <scheme val="minor"/>
      </rPr>
      <t>2)</t>
    </r>
  </si>
  <si>
    <t>Obj Threshold value</t>
  </si>
  <si>
    <t>Get row index</t>
  </si>
  <si>
    <t>Get column index</t>
  </si>
  <si>
    <t>Type or select: NONE or OIII or UHC</t>
  </si>
  <si>
    <t>NONE</t>
  </si>
  <si>
    <t>Green cells are user input data</t>
  </si>
  <si>
    <t>object-threshold</t>
  </si>
  <si>
    <t>object-sky</t>
  </si>
  <si>
    <t>table error budget</t>
  </si>
  <si>
    <t>lookup roundoff</t>
  </si>
  <si>
    <r>
      <t>Select units: in or mm, min or sec,visual mag or brightness (mag/arcsec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</si>
  <si>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If Obj is &gt; 0.7 mag brighter than Threshold then YES</t>
  </si>
  <si>
    <t>If Obj is &gt; 0.7 mag dimmer than Threshold then NO</t>
  </si>
  <si>
    <t>If Obj is within 0.7 mag of Threshold then MAYBE</t>
  </si>
  <si>
    <t>Eye</t>
  </si>
  <si>
    <t>Pupil</t>
  </si>
  <si>
    <t>Resolve</t>
  </si>
  <si>
    <t>Jones 1</t>
  </si>
  <si>
    <t>Intermediate Calcs</t>
  </si>
  <si>
    <t>Grey cells are for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</si>
</sst>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0" fillId="0" borderId="0" xfId="0" applyFill="1"/>
    <xf numFmtId="0" fontId="6" fillId="0" borderId="0" xfId="0" applyFont="1"/>
    <xf numFmtId="0" fontId="0" fillId="2" borderId="0" xfId="0" applyFill="1"/>
    <xf numFmtId="0" fontId="7" fillId="0" borderId="0" xfId="0" applyFont="1"/>
    <xf numFmtId="172" fontId="0" fillId="0" borderId="0" xfId="0" applyNumberFormat="1"/>
    <xf numFmtId="172" fontId="0" fillId="2" borderId="0" xfId="0" applyNumberFormat="1" applyFill="1"/>
    <xf numFmtId="1" fontId="0" fillId="2" borderId="0" xfId="0" applyNumberFormat="1" applyFill="1"/>
    <xf numFmtId="2" fontId="0" fillId="2" borderId="0" xfId="0" applyNumberFormat="1" applyFill="1"/>
    <xf numFmtId="0" fontId="0" fillId="0" borderId="0" xfId="0" applyFill="1" applyAlignment="1"/>
    <xf numFmtId="0" fontId="0" fillId="3" borderId="0" xfId="0" applyFill="1" applyAlignment="1"/>
    <xf numFmtId="0" fontId="0" fillId="3" borderId="0" xfId="0" applyFill="1"/>
    <xf numFmtId="172" fontId="0" fillId="3" borderId="0" xfId="0" applyNumberFormat="1" applyFill="1"/>
    <xf numFmtId="2" fontId="0" fillId="0" borderId="0" xfId="0" applyNumberFormat="1"/>
    <xf numFmtId="0" fontId="0" fillId="0" borderId="0" xfId="0" applyAlignment="1">
      <alignment vertical="top"/>
    </xf>
    <xf numFmtId="0" fontId="0" fillId="4" borderId="0" xfId="0" applyFill="1" applyProtection="1">
      <protection locked="0"/>
    </xf>
    <xf numFmtId="1" fontId="0" fillId="4" borderId="0" xfId="0" applyNumberFormat="1" applyFill="1" applyProtection="1">
      <protection locked="0"/>
    </xf>
    <xf numFmtId="0" fontId="0" fillId="0" borderId="0" xfId="0" applyProtection="1">
      <protection hidden="1"/>
    </xf>
    <xf numFmtId="172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0" fillId="0" borderId="0" xfId="0" applyFill="1"/>
    <xf numFmtId="172" fontId="0" fillId="2" borderId="0" xfId="0" applyNumberFormat="1" applyFill="1"/>
    <xf numFmtId="0" fontId="0" fillId="3" borderId="0" xfId="0" applyFill="1" applyAlignment="1"/>
    <xf numFmtId="0" fontId="0" fillId="3" borderId="0" xfId="0" applyFill="1"/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/>
    <xf numFmtId="172" fontId="0" fillId="0" borderId="0" xfId="0" applyNumberFormat="1" applyFill="1"/>
    <xf numFmtId="0" fontId="0" fillId="4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7" fillId="3" borderId="0" xfId="0" applyFont="1" applyFill="1"/>
    <xf numFmtId="0" fontId="4" fillId="3" borderId="0" xfId="0" applyFont="1" applyFill="1" applyProtection="1">
      <protection hidden="1"/>
    </xf>
    <xf numFmtId="0" fontId="0" fillId="0" borderId="0" xfId="0" applyAlignment="1">
      <alignment horizontal="center"/>
    </xf>
    <xf numFmtId="49" fontId="0" fillId="3" borderId="0" xfId="0" applyNumberFormat="1" applyFill="1"/>
    <xf numFmtId="172" fontId="0" fillId="0" borderId="0" xfId="0" applyNumberFormat="1" applyFill="1" applyProtection="1">
      <protection locked="0" hidden="1"/>
    </xf>
    <xf numFmtId="0" fontId="0" fillId="3" borderId="0" xfId="0" applyFont="1" applyFill="1" applyAlignment="1"/>
    <xf numFmtId="0" fontId="0" fillId="3" borderId="0" xfId="0" applyFill="1" applyAlignment="1">
      <alignment horizontal="center"/>
    </xf>
    <xf numFmtId="0" fontId="5" fillId="0" borderId="0" xfId="0" applyFont="1" applyFill="1" applyProtection="1">
      <protection hidden="1"/>
    </xf>
    <xf numFmtId="0" fontId="0" fillId="4" borderId="0" xfId="0" applyFill="1" applyAlignment="1"/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/>
    <xf numFmtId="0" fontId="0" fillId="3" borderId="0" xfId="0" applyFill="1" applyAlignment="1"/>
    <xf numFmtId="0" fontId="5" fillId="3" borderId="0" xfId="0" applyFont="1" applyFill="1" applyAlignment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6"/>
  <sheetViews>
    <sheetView tabSelected="1" workbookViewId="0">
      <selection activeCell="M2" sqref="M2:O2"/>
    </sheetView>
  </sheetViews>
  <sheetFormatPr defaultRowHeight="15" x14ac:dyDescent="0.25"/>
  <cols>
    <col min="9" max="9" width="9.140625" customWidth="1"/>
    <col min="10" max="10" width="9.140625" style="22"/>
  </cols>
  <sheetData>
    <row r="1" spans="1:20" ht="18.75" x14ac:dyDescent="0.3">
      <c r="A1" s="21"/>
      <c r="B1" s="3" t="s">
        <v>9</v>
      </c>
      <c r="D1" s="42" t="s">
        <v>52</v>
      </c>
      <c r="E1" s="42"/>
      <c r="F1" s="42"/>
      <c r="K1" s="3" t="s">
        <v>10</v>
      </c>
      <c r="M1" s="4" t="s">
        <v>30</v>
      </c>
      <c r="N1" s="4"/>
      <c r="O1" s="4"/>
      <c r="P1" s="4"/>
    </row>
    <row r="2" spans="1:20" ht="18.75" x14ac:dyDescent="0.3">
      <c r="K2" s="3"/>
      <c r="M2" s="47" t="s">
        <v>66</v>
      </c>
      <c r="N2" s="47"/>
      <c r="O2" s="47"/>
    </row>
    <row r="3" spans="1:20" ht="15.75" x14ac:dyDescent="0.25">
      <c r="B3" s="5" t="s">
        <v>2</v>
      </c>
      <c r="O3" s="23"/>
      <c r="P3" s="23"/>
      <c r="Q3" s="23"/>
      <c r="R3" s="23"/>
    </row>
    <row r="4" spans="1:20" ht="15.75" x14ac:dyDescent="0.25">
      <c r="B4" s="1" t="s">
        <v>8</v>
      </c>
      <c r="D4" s="20" t="s">
        <v>64</v>
      </c>
      <c r="F4" s="33"/>
      <c r="K4" s="5" t="s">
        <v>34</v>
      </c>
      <c r="M4" s="32" t="str">
        <f ca="1">IF(ISNUMBER(Calculator!C53),IF(Calculator!C53&lt; -Calculator!C55,"YES",IF(Calculator!C53&gt;Calculator!C55,"NO","MAYBE")),"ERROR")</f>
        <v>NO</v>
      </c>
      <c r="O4" s="11" t="s">
        <v>58</v>
      </c>
      <c r="P4" s="11"/>
      <c r="Q4" s="12"/>
      <c r="R4" s="12"/>
      <c r="S4" s="12"/>
    </row>
    <row r="5" spans="1:20" ht="15.75" x14ac:dyDescent="0.25">
      <c r="B5" t="s">
        <v>3</v>
      </c>
      <c r="D5" s="16">
        <v>6</v>
      </c>
      <c r="E5" s="27" t="s">
        <v>6</v>
      </c>
      <c r="F5" s="43" t="s">
        <v>43</v>
      </c>
      <c r="G5" s="44"/>
      <c r="H5" s="44"/>
      <c r="K5" s="5"/>
      <c r="L5" s="2"/>
      <c r="O5" s="11" t="s">
        <v>59</v>
      </c>
      <c r="P5" s="11"/>
      <c r="Q5" s="12"/>
      <c r="R5" s="12"/>
      <c r="S5" s="12"/>
    </row>
    <row r="6" spans="1:20" ht="15.75" x14ac:dyDescent="0.25">
      <c r="B6" t="s">
        <v>4</v>
      </c>
      <c r="D6" s="16">
        <v>5.5</v>
      </c>
      <c r="E6" s="27" t="s">
        <v>6</v>
      </c>
      <c r="F6" s="43" t="s">
        <v>43</v>
      </c>
      <c r="G6" s="44"/>
      <c r="H6" s="44"/>
      <c r="K6" s="5"/>
      <c r="M6" s="10"/>
      <c r="O6" s="11" t="s">
        <v>60</v>
      </c>
      <c r="P6" s="11"/>
      <c r="Q6" s="12"/>
      <c r="R6" s="12"/>
      <c r="S6" s="12"/>
    </row>
    <row r="7" spans="1:20" ht="15.75" x14ac:dyDescent="0.25">
      <c r="B7" s="45" t="s">
        <v>46</v>
      </c>
      <c r="C7" s="46"/>
      <c r="D7" s="19">
        <v>12.1</v>
      </c>
      <c r="E7" s="27" t="s">
        <v>36</v>
      </c>
      <c r="F7" s="43" t="s">
        <v>44</v>
      </c>
      <c r="G7" s="44"/>
      <c r="H7" s="44"/>
      <c r="J7" s="29"/>
      <c r="K7" s="5"/>
      <c r="M7" s="10"/>
    </row>
    <row r="8" spans="1:20" x14ac:dyDescent="0.25">
      <c r="B8" s="46"/>
      <c r="C8" s="46"/>
      <c r="G8" s="18"/>
    </row>
    <row r="9" spans="1:20" ht="17.25" x14ac:dyDescent="0.25">
      <c r="B9" s="28"/>
      <c r="C9" s="28"/>
      <c r="K9" t="s">
        <v>18</v>
      </c>
      <c r="M9" s="7">
        <f>N33</f>
        <v>24.524599370918516</v>
      </c>
      <c r="N9" t="s">
        <v>7</v>
      </c>
    </row>
    <row r="10" spans="1:20" ht="15.75" x14ac:dyDescent="0.25">
      <c r="B10" s="5" t="s">
        <v>41</v>
      </c>
      <c r="K10" t="s">
        <v>17</v>
      </c>
      <c r="M10" s="24">
        <f>D13*SQRT(N31*N32)</f>
        <v>287.22813232690146</v>
      </c>
      <c r="N10" t="s">
        <v>6</v>
      </c>
      <c r="O10" s="48" t="s">
        <v>33</v>
      </c>
      <c r="P10" s="44"/>
    </row>
    <row r="11" spans="1:20" ht="17.25" x14ac:dyDescent="0.25">
      <c r="B11" t="s">
        <v>0</v>
      </c>
      <c r="D11" s="19">
        <v>250</v>
      </c>
      <c r="E11" s="27" t="s">
        <v>1</v>
      </c>
      <c r="F11" t="s">
        <v>45</v>
      </c>
      <c r="K11" t="s">
        <v>28</v>
      </c>
      <c r="M11" s="7">
        <f>M9+M18</f>
        <v>25.255203685651395</v>
      </c>
      <c r="N11" t="s">
        <v>7</v>
      </c>
      <c r="R11" s="2"/>
    </row>
    <row r="12" spans="1:20" ht="17.25" x14ac:dyDescent="0.25">
      <c r="B12" t="s">
        <v>37</v>
      </c>
      <c r="D12" s="16">
        <v>6</v>
      </c>
      <c r="K12" t="s">
        <v>23</v>
      </c>
      <c r="M12" s="7">
        <f>D16+M18+VLOOKUP(D19,Calculator!A31:B33,2)</f>
        <v>21.730604314732879</v>
      </c>
      <c r="N12" t="s">
        <v>7</v>
      </c>
      <c r="R12" s="2"/>
    </row>
    <row r="13" spans="1:20" ht="17.25" x14ac:dyDescent="0.25">
      <c r="B13" t="s">
        <v>11</v>
      </c>
      <c r="D13" s="17">
        <v>50</v>
      </c>
      <c r="E13" s="36"/>
      <c r="K13" s="23" t="s">
        <v>47</v>
      </c>
      <c r="M13" s="24">
        <f ca="1">IF(AND(ISNUMBER(Calculator!E37),ISNUMBER(Calculator!E38)),OFFSET(Calculator!A40,Calculator!E37,Calculator!E38),"Out of Range")</f>
        <v>24.061589999999999</v>
      </c>
      <c r="N13" s="22" t="s">
        <v>7</v>
      </c>
      <c r="R13" s="2"/>
    </row>
    <row r="14" spans="1:20" x14ac:dyDescent="0.25">
      <c r="R14" s="2"/>
    </row>
    <row r="15" spans="1:20" ht="15.75" x14ac:dyDescent="0.25">
      <c r="B15" s="5" t="s">
        <v>13</v>
      </c>
      <c r="K15" s="5" t="s">
        <v>14</v>
      </c>
      <c r="S15" s="2"/>
      <c r="T15" s="2"/>
    </row>
    <row r="16" spans="1:20" ht="17.25" x14ac:dyDescent="0.25">
      <c r="B16" t="s">
        <v>5</v>
      </c>
      <c r="D16" s="16">
        <v>21</v>
      </c>
      <c r="E16" s="36" t="s">
        <v>7</v>
      </c>
      <c r="K16" t="s">
        <v>31</v>
      </c>
      <c r="M16" s="8">
        <f>IF(E11="mm",D11*D12/D13,25.4*D11*D12/D13)</f>
        <v>30</v>
      </c>
      <c r="N16" t="s">
        <v>1</v>
      </c>
      <c r="S16" s="2"/>
      <c r="T16" s="2"/>
    </row>
    <row r="17" spans="1:20" x14ac:dyDescent="0.25">
      <c r="K17" t="s">
        <v>12</v>
      </c>
      <c r="M17" s="7">
        <f>IF(E11="mm",D11/D13,25.4*D11/D13)</f>
        <v>5</v>
      </c>
      <c r="N17" t="s">
        <v>1</v>
      </c>
      <c r="S17" s="2"/>
      <c r="T17" s="2"/>
    </row>
    <row r="18" spans="1:20" ht="15.75" x14ac:dyDescent="0.25">
      <c r="B18" s="5" t="s">
        <v>32</v>
      </c>
      <c r="K18" t="s">
        <v>38</v>
      </c>
      <c r="M18" s="9">
        <f>IF(M17&lt;Calculator!K31,-2*LOG(M17/Calculator!K31)/LOG(2.512),0)</f>
        <v>0.73060431473287779</v>
      </c>
      <c r="N18" t="s">
        <v>15</v>
      </c>
      <c r="O18" s="49" t="s">
        <v>25</v>
      </c>
      <c r="P18" s="48"/>
      <c r="Q18" s="48"/>
      <c r="R18" s="48"/>
      <c r="S18" s="2"/>
      <c r="T18" s="2"/>
    </row>
    <row r="19" spans="1:20" x14ac:dyDescent="0.25">
      <c r="B19" t="s">
        <v>24</v>
      </c>
      <c r="D19" s="30" t="s">
        <v>51</v>
      </c>
      <c r="F19" s="15" t="s">
        <v>50</v>
      </c>
      <c r="G19" s="15"/>
      <c r="H19" s="15"/>
    </row>
    <row r="20" spans="1:20" x14ac:dyDescent="0.25">
      <c r="E20" s="15"/>
      <c r="F20" s="15"/>
      <c r="G20" s="15"/>
      <c r="H20" s="15"/>
      <c r="M20" s="6"/>
    </row>
    <row r="21" spans="1:20" x14ac:dyDescent="0.25">
      <c r="E21" s="15"/>
      <c r="F21" s="15"/>
      <c r="G21" s="15"/>
      <c r="H21" s="15"/>
      <c r="P21" s="33"/>
    </row>
    <row r="23" spans="1:20" x14ac:dyDescent="0.25">
      <c r="Q23" s="10"/>
    </row>
    <row r="24" spans="1:20" x14ac:dyDescent="0.25">
      <c r="Q24" s="10"/>
    </row>
    <row r="25" spans="1:20" x14ac:dyDescent="0.25">
      <c r="M25" s="23"/>
      <c r="N25" s="23"/>
      <c r="O25" s="23"/>
      <c r="Q25" s="10"/>
    </row>
    <row r="26" spans="1:20" x14ac:dyDescent="0.25">
      <c r="M26" s="23"/>
      <c r="N26" s="23"/>
      <c r="O26" s="23"/>
    </row>
    <row r="27" spans="1:20" x14ac:dyDescent="0.25">
      <c r="Q27" s="10"/>
    </row>
    <row r="30" spans="1:20" ht="15.75" x14ac:dyDescent="0.25">
      <c r="A30" s="37" t="s">
        <v>32</v>
      </c>
      <c r="B30" s="37" t="s">
        <v>20</v>
      </c>
      <c r="E30" s="50" t="s">
        <v>57</v>
      </c>
      <c r="F30" s="50"/>
      <c r="G30" s="50"/>
      <c r="H30" s="10"/>
      <c r="I30" s="41"/>
      <c r="J30" s="39" t="s">
        <v>61</v>
      </c>
      <c r="K30" s="10"/>
      <c r="N30" s="47" t="s">
        <v>65</v>
      </c>
      <c r="O30" s="47"/>
    </row>
    <row r="31" spans="1:20" x14ac:dyDescent="0.25">
      <c r="A31" s="31" t="s">
        <v>51</v>
      </c>
      <c r="B31" s="22">
        <v>0</v>
      </c>
      <c r="E31" s="50"/>
      <c r="F31" s="50"/>
      <c r="G31" s="50"/>
      <c r="J31" s="22" t="s">
        <v>62</v>
      </c>
      <c r="K31" s="38">
        <v>7</v>
      </c>
      <c r="L31" t="s">
        <v>1</v>
      </c>
      <c r="N31">
        <f>IF(E5="min",D5,D5/60)</f>
        <v>6</v>
      </c>
    </row>
    <row r="32" spans="1:20" x14ac:dyDescent="0.25">
      <c r="A32" s="31" t="s">
        <v>19</v>
      </c>
      <c r="B32" s="22">
        <v>2.59</v>
      </c>
      <c r="E32" t="s">
        <v>39</v>
      </c>
      <c r="F32" t="s">
        <v>6</v>
      </c>
      <c r="G32" t="s">
        <v>36</v>
      </c>
      <c r="J32" s="22" t="s">
        <v>63</v>
      </c>
      <c r="K32">
        <v>2</v>
      </c>
      <c r="L32" t="s">
        <v>6</v>
      </c>
      <c r="N32">
        <f>IF(E6="min",D6,D6/60)</f>
        <v>5.5</v>
      </c>
    </row>
    <row r="33" spans="1:14" x14ac:dyDescent="0.25">
      <c r="A33" s="31" t="s">
        <v>21</v>
      </c>
      <c r="B33" s="22">
        <v>1.58</v>
      </c>
      <c r="E33" t="s">
        <v>1</v>
      </c>
      <c r="F33" t="s">
        <v>40</v>
      </c>
      <c r="G33" t="s">
        <v>42</v>
      </c>
      <c r="J33"/>
      <c r="N33" s="29">
        <f>IF(E7=Calculator!G32,D7+2.5*LOG10(2827*N31*N32),D7)</f>
        <v>24.524599370918516</v>
      </c>
    </row>
    <row r="34" spans="1:14" x14ac:dyDescent="0.25">
      <c r="N34">
        <f>IF(E11="mm",D11,25.4*D11)</f>
        <v>250</v>
      </c>
    </row>
    <row r="35" spans="1:14" x14ac:dyDescent="0.25">
      <c r="J35"/>
    </row>
    <row r="36" spans="1:14" x14ac:dyDescent="0.25">
      <c r="A36" s="22"/>
      <c r="B36" s="22"/>
      <c r="C36" s="22"/>
      <c r="D36" s="22"/>
      <c r="E36" s="51" t="s">
        <v>22</v>
      </c>
      <c r="F36" s="51"/>
      <c r="G36" s="22"/>
      <c r="H36" s="22"/>
      <c r="I36" s="22"/>
      <c r="K36" s="22"/>
      <c r="L36" s="22"/>
    </row>
    <row r="37" spans="1:14" x14ac:dyDescent="0.25">
      <c r="A37" s="48" t="s">
        <v>48</v>
      </c>
      <c r="B37" s="48"/>
      <c r="C37" s="6">
        <f>IF(OR(Calculator!M10&gt;1.59*A42,Calculator!M10&lt;0.5*Calculator!A49),"out of range",Calculator!M10)</f>
        <v>287.22813232690146</v>
      </c>
      <c r="D37" s="6">
        <f>IF(ISNUMBER(C37),0.5*ROUND(2*LOG(C37,2.512),0),C37)</f>
        <v>6</v>
      </c>
      <c r="E37" s="23">
        <f>IF(ISNUMBER(D37),MATCH(IF(D37&lt;J41,D37,J41),Calculator!J41:J49,0),C37)</f>
        <v>2</v>
      </c>
      <c r="J37"/>
      <c r="L37" s="22"/>
      <c r="M37" s="22"/>
    </row>
    <row r="38" spans="1:14" x14ac:dyDescent="0.25">
      <c r="A38" s="48" t="s">
        <v>49</v>
      </c>
      <c r="B38" s="48"/>
      <c r="C38" s="6">
        <f>IF(OR(Calculator!M12&gt;0.5+B40,Calculator!M12&lt;I40-0.5),"out of range",Calculator!M12)</f>
        <v>21.730604314732879</v>
      </c>
      <c r="D38" s="6">
        <f>ROUND(C38,0)</f>
        <v>22</v>
      </c>
      <c r="E38" s="23">
        <f>IF(ISNUMBER(C38),MATCH(D38,Calculator!B40:I40,-1),C38)</f>
        <v>5</v>
      </c>
      <c r="J38"/>
    </row>
    <row r="39" spans="1:14" ht="17.25" x14ac:dyDescent="0.25">
      <c r="A39" s="26"/>
      <c r="B39" s="51" t="s">
        <v>27</v>
      </c>
      <c r="C39" s="51"/>
      <c r="D39" s="51"/>
      <c r="E39" s="51"/>
      <c r="F39" s="51"/>
      <c r="G39" s="51"/>
      <c r="H39" s="51"/>
      <c r="I39" s="51"/>
      <c r="J39" s="40"/>
      <c r="K39" s="26"/>
    </row>
    <row r="40" spans="1:14" x14ac:dyDescent="0.25">
      <c r="A40" s="26" t="s">
        <v>26</v>
      </c>
      <c r="B40" s="26">
        <v>26</v>
      </c>
      <c r="C40" s="26">
        <v>25</v>
      </c>
      <c r="D40" s="26">
        <v>24</v>
      </c>
      <c r="E40" s="26">
        <v>23</v>
      </c>
      <c r="F40" s="26">
        <v>22</v>
      </c>
      <c r="G40" s="26">
        <v>21</v>
      </c>
      <c r="H40" s="26">
        <v>20</v>
      </c>
      <c r="I40" s="26">
        <v>19</v>
      </c>
      <c r="J40" s="26" t="s">
        <v>35</v>
      </c>
      <c r="K40" s="26"/>
    </row>
    <row r="41" spans="1:14" x14ac:dyDescent="0.25">
      <c r="A41" s="26">
        <v>360</v>
      </c>
      <c r="B41" s="6">
        <v>26.204000000000001</v>
      </c>
      <c r="C41" s="6">
        <v>25.884</v>
      </c>
      <c r="D41" s="6">
        <v>25.564</v>
      </c>
      <c r="E41" s="6">
        <v>24.988</v>
      </c>
      <c r="F41" s="6">
        <v>24.347999999999999</v>
      </c>
      <c r="G41" s="6">
        <v>23.696000000000002</v>
      </c>
      <c r="H41" s="6">
        <v>23.015999999999998</v>
      </c>
      <c r="I41" s="6">
        <v>22.335999999999999</v>
      </c>
      <c r="J41" s="14">
        <f>LOG(A41,2.512)</f>
        <v>6.3904425600280739</v>
      </c>
    </row>
    <row r="42" spans="1:14" x14ac:dyDescent="0.25">
      <c r="A42" s="26">
        <v>251</v>
      </c>
      <c r="B42" s="6">
        <v>25.844619000000002</v>
      </c>
      <c r="C42" s="6">
        <v>25.542862</v>
      </c>
      <c r="D42" s="6">
        <v>25.241105000000001</v>
      </c>
      <c r="E42" s="6">
        <v>24.683347000000001</v>
      </c>
      <c r="F42" s="6">
        <v>24.061589999999999</v>
      </c>
      <c r="G42" s="6">
        <v>23.427833</v>
      </c>
      <c r="H42" s="6">
        <v>22.766075000000001</v>
      </c>
      <c r="I42" s="6">
        <v>22.104317999999999</v>
      </c>
      <c r="J42" s="14">
        <f>0.5*ROUND(2*LOG(A42,2.512),0)</f>
        <v>6</v>
      </c>
    </row>
    <row r="43" spans="1:14" x14ac:dyDescent="0.25">
      <c r="A43" s="26">
        <v>159</v>
      </c>
      <c r="B43" s="6">
        <v>25.541288999999999</v>
      </c>
      <c r="C43" s="6">
        <v>25.254929000000001</v>
      </c>
      <c r="D43" s="6">
        <v>24.968568999999999</v>
      </c>
      <c r="E43" s="6">
        <v>24.426209</v>
      </c>
      <c r="F43" s="6">
        <v>23.819849000000001</v>
      </c>
      <c r="G43" s="6">
        <v>23.20149</v>
      </c>
      <c r="H43" s="6">
        <v>22.555129999999998</v>
      </c>
      <c r="I43" s="6">
        <v>21.908770000000001</v>
      </c>
      <c r="J43" s="14">
        <f t="shared" ref="J43:J49" si="0">0.5*ROUND(2*LOG(A43,2.512),0)</f>
        <v>5.5</v>
      </c>
    </row>
    <row r="44" spans="1:14" x14ac:dyDescent="0.25">
      <c r="A44" s="26">
        <v>100</v>
      </c>
      <c r="B44" s="6">
        <v>25.133026000000001</v>
      </c>
      <c r="C44" s="6">
        <v>24.865772</v>
      </c>
      <c r="D44" s="6">
        <v>24.598519</v>
      </c>
      <c r="E44" s="6">
        <v>24.075265999999999</v>
      </c>
      <c r="F44" s="6">
        <v>23.488012000000001</v>
      </c>
      <c r="G44" s="6">
        <v>22.888759</v>
      </c>
      <c r="H44" s="6">
        <v>22.261505</v>
      </c>
      <c r="I44" s="6">
        <v>21.634252</v>
      </c>
      <c r="J44" s="14">
        <f t="shared" si="0"/>
        <v>5</v>
      </c>
    </row>
    <row r="45" spans="1:14" x14ac:dyDescent="0.25">
      <c r="A45" s="13">
        <v>63.1</v>
      </c>
      <c r="B45" s="6">
        <v>24.6358</v>
      </c>
      <c r="C45" s="6">
        <v>24.390944000000001</v>
      </c>
      <c r="D45" s="6">
        <v>24.146087999999999</v>
      </c>
      <c r="E45" s="6">
        <v>23.645232</v>
      </c>
      <c r="F45" s="6">
        <v>23.080376000000001</v>
      </c>
      <c r="G45" s="6">
        <v>22.503520000000002</v>
      </c>
      <c r="H45" s="6">
        <v>21.898665000000001</v>
      </c>
      <c r="I45" s="6">
        <v>21.293809</v>
      </c>
      <c r="J45" s="14">
        <f t="shared" si="0"/>
        <v>4.5</v>
      </c>
    </row>
    <row r="46" spans="1:14" x14ac:dyDescent="0.25">
      <c r="A46" s="13">
        <v>39.799999999999997</v>
      </c>
      <c r="B46" s="6">
        <v>23.823122000000001</v>
      </c>
      <c r="C46" s="6">
        <v>23.583121999999999</v>
      </c>
      <c r="D46" s="6">
        <v>23.343122000000001</v>
      </c>
      <c r="E46" s="6">
        <v>22.873659</v>
      </c>
      <c r="F46" s="6">
        <v>22.346829</v>
      </c>
      <c r="G46" s="6">
        <v>21.812975999999999</v>
      </c>
      <c r="H46" s="6">
        <v>21.262732</v>
      </c>
      <c r="I46" s="6">
        <v>20.712488</v>
      </c>
      <c r="J46" s="14">
        <f t="shared" si="0"/>
        <v>4</v>
      </c>
    </row>
    <row r="47" spans="1:14" x14ac:dyDescent="0.25">
      <c r="A47" s="13">
        <v>25.1</v>
      </c>
      <c r="B47" s="6">
        <v>23.145886000000001</v>
      </c>
      <c r="C47" s="6">
        <v>22.905885999999999</v>
      </c>
      <c r="D47" s="6">
        <v>22.665886</v>
      </c>
      <c r="E47" s="6">
        <v>22.221919</v>
      </c>
      <c r="F47" s="6">
        <v>21.726959000000001</v>
      </c>
      <c r="G47" s="6">
        <v>21.229755999999998</v>
      </c>
      <c r="H47" s="6">
        <v>20.727316999999999</v>
      </c>
      <c r="I47" s="6">
        <v>20.224878</v>
      </c>
      <c r="J47" s="14">
        <f t="shared" si="0"/>
        <v>3.5</v>
      </c>
    </row>
    <row r="48" spans="1:14" x14ac:dyDescent="0.25">
      <c r="A48" s="13">
        <v>15.9</v>
      </c>
      <c r="B48" s="6">
        <v>22.450066</v>
      </c>
      <c r="C48" s="6">
        <v>22.210066000000001</v>
      </c>
      <c r="D48" s="6">
        <v>21.970065999999999</v>
      </c>
      <c r="E48" s="6">
        <v>21.555343000000001</v>
      </c>
      <c r="F48" s="6">
        <v>21.096938999999999</v>
      </c>
      <c r="G48" s="6">
        <v>20.638535000000001</v>
      </c>
      <c r="H48" s="6">
        <v>20.180130999999999</v>
      </c>
      <c r="I48" s="6">
        <v>19.721727999999999</v>
      </c>
      <c r="J48" s="14">
        <f t="shared" si="0"/>
        <v>3</v>
      </c>
    </row>
    <row r="49" spans="1:10" x14ac:dyDescent="0.25">
      <c r="A49" s="13">
        <v>10</v>
      </c>
      <c r="B49" s="6">
        <v>21.480581999999998</v>
      </c>
      <c r="C49" s="6">
        <v>21.240582</v>
      </c>
      <c r="D49" s="6">
        <v>21.000582000000001</v>
      </c>
      <c r="E49" s="6">
        <v>20.630178000000001</v>
      </c>
      <c r="F49" s="6">
        <v>20.227174000000002</v>
      </c>
      <c r="G49" s="6">
        <v>19.824169000000001</v>
      </c>
      <c r="H49" s="6">
        <v>19.421164000000001</v>
      </c>
      <c r="I49" s="6">
        <v>19.018160000000002</v>
      </c>
      <c r="J49" s="14">
        <f t="shared" si="0"/>
        <v>2.5</v>
      </c>
    </row>
    <row r="50" spans="1:10" x14ac:dyDescent="0.25">
      <c r="J50"/>
    </row>
    <row r="51" spans="1:10" ht="15.75" x14ac:dyDescent="0.25">
      <c r="A51" s="34" t="s">
        <v>16</v>
      </c>
      <c r="B51" s="26"/>
      <c r="C51" s="26"/>
      <c r="D51" s="35"/>
      <c r="E51" s="26"/>
      <c r="J51"/>
    </row>
    <row r="52" spans="1:10" x14ac:dyDescent="0.25">
      <c r="A52" s="26"/>
      <c r="B52" s="26"/>
      <c r="C52" s="26"/>
      <c r="D52" s="11"/>
      <c r="E52" s="11"/>
      <c r="J52"/>
    </row>
    <row r="53" spans="1:10" x14ac:dyDescent="0.25">
      <c r="A53" s="12" t="s">
        <v>53</v>
      </c>
      <c r="B53" s="26"/>
      <c r="C53" s="13">
        <f ca="1">Calculator!M11-Calculator!M13</f>
        <v>1.1936136856513961</v>
      </c>
      <c r="D53" s="11" t="s">
        <v>29</v>
      </c>
      <c r="E53" s="11"/>
      <c r="J53"/>
    </row>
    <row r="54" spans="1:10" x14ac:dyDescent="0.25">
      <c r="A54" s="12" t="s">
        <v>54</v>
      </c>
      <c r="B54" s="26"/>
      <c r="C54" s="13">
        <f>Calculator!M11-Calculator!M12</f>
        <v>3.5245993709185157</v>
      </c>
      <c r="D54" s="11" t="s">
        <v>29</v>
      </c>
      <c r="E54" s="11"/>
      <c r="J54"/>
    </row>
    <row r="55" spans="1:10" x14ac:dyDescent="0.25">
      <c r="A55" s="12" t="s">
        <v>55</v>
      </c>
      <c r="B55" s="26"/>
      <c r="C55" s="26">
        <v>0.7</v>
      </c>
      <c r="D55" s="25" t="s">
        <v>56</v>
      </c>
      <c r="E55" s="26"/>
      <c r="J55"/>
    </row>
    <row r="56" spans="1:10" x14ac:dyDescent="0.25">
      <c r="J56"/>
    </row>
  </sheetData>
  <sheetProtection selectLockedCells="1"/>
  <mergeCells count="14">
    <mergeCell ref="B39:I39"/>
    <mergeCell ref="E36:F36"/>
    <mergeCell ref="A37:B37"/>
    <mergeCell ref="A38:B38"/>
    <mergeCell ref="D1:F1"/>
    <mergeCell ref="F5:H5"/>
    <mergeCell ref="F6:H6"/>
    <mergeCell ref="B7:C8"/>
    <mergeCell ref="N30:O30"/>
    <mergeCell ref="O10:P10"/>
    <mergeCell ref="O18:R18"/>
    <mergeCell ref="M2:O2"/>
    <mergeCell ref="F7:H7"/>
    <mergeCell ref="E30:G31"/>
  </mergeCells>
  <conditionalFormatting sqref="M13">
    <cfRule type="containsText" dxfId="4" priority="4" operator="containsText" text="Out of Range">
      <formula>NOT(ISERROR(SEARCH("Out of Range",M13)))</formula>
    </cfRule>
  </conditionalFormatting>
  <conditionalFormatting sqref="M4">
    <cfRule type="containsText" dxfId="3" priority="1" stopIfTrue="1" operator="containsText" text="ERROR">
      <formula>NOT(ISERROR(SEARCH("ERROR",M4)))</formula>
    </cfRule>
    <cfRule type="containsText" dxfId="2" priority="3" operator="containsText" text="NO">
      <formula>NOT(ISERROR(SEARCH("NO",M4)))</formula>
    </cfRule>
    <cfRule type="containsText" dxfId="1" priority="58" operator="containsText" text="MAYBE">
      <formula>NOT(ISERROR(SEARCH("MAYBE",M4)))</formula>
    </cfRule>
    <cfRule type="containsText" dxfId="0" priority="60" operator="containsText" text="YES">
      <formula>NOT(ISERROR(SEARCH("YES",M4)))</formula>
    </cfRule>
  </conditionalFormatting>
  <dataValidations count="5">
    <dataValidation allowBlank="1" showInputMessage="1" showErrorMessage="1" error="Bad choice" sqref="A31:A33"/>
    <dataValidation type="list" errorStyle="warning" allowBlank="1" showInputMessage="1" showErrorMessage="1" error="Invalid filter" sqref="D19">
      <formula1>$A$31:$A$33</formula1>
    </dataValidation>
    <dataValidation type="list" allowBlank="1" showInputMessage="1" showErrorMessage="1" sqref="E11">
      <formula1>$E$32:$E$33</formula1>
    </dataValidation>
    <dataValidation type="list" allowBlank="1" showInputMessage="1" showErrorMessage="1" sqref="E5:E6">
      <formula1>$F$32:$F$33</formula1>
    </dataValidation>
    <dataValidation type="list" allowBlank="1" showInputMessage="1" showErrorMessage="1" sqref="E7">
      <formula1>$G$32:$G$33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cp:lastPrinted>2012-04-16T16:54:01Z</cp:lastPrinted>
  <dcterms:created xsi:type="dcterms:W3CDTF">2012-01-23T19:16:25Z</dcterms:created>
  <dcterms:modified xsi:type="dcterms:W3CDTF">2015-09-06T23:16:55Z</dcterms:modified>
</cp:coreProperties>
</file>